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M\M-EP\M-EPE\Marktgebietszusammenlegung THE\"/>
    </mc:Choice>
  </mc:AlternateContent>
  <bookViews>
    <workbookView xWindow="0" yWindow="0" windowWidth="28800" windowHeight="12300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7" l="1"/>
  <c r="E5" i="17"/>
  <c r="E7" i="17"/>
  <c r="E6" i="17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8" i="1"/>
  <c r="E30" i="1"/>
  <c r="E31" i="1"/>
  <c r="E32" i="1"/>
  <c r="E33" i="1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H15" i="7"/>
  <c r="F15" i="7"/>
  <c r="W14" i="7"/>
  <c r="V14" i="7"/>
  <c r="U14" i="7"/>
  <c r="T14" i="7"/>
  <c r="S14" i="7"/>
  <c r="R14" i="7"/>
  <c r="X14" i="7" s="1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J8" i="7"/>
  <c r="Q14" i="7" l="1"/>
  <c r="Q15" i="7"/>
  <c r="Q13" i="7"/>
  <c r="Q12" i="7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<sst xmlns="http://schemas.openxmlformats.org/spreadsheetml/2006/main" count="1376" uniqueCount="668">
  <si>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</si>
  <si>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</si>
  <si>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</si>
  <si>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</si>
  <si>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</si>
  <si>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</si>
  <si>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</si>
  <si>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</si>
  <si>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</si>
  <si>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</si>
  <si>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</si>
  <si>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</si>
  <si>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</si>
  <si>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</si>
  <si>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</si>
  <si>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</si>
  <si>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</si>
  <si>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</si>
  <si>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</si>
  <si>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</si>
  <si>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</si>
  <si>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</si>
  <si>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</si>
  <si>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</si>
  <si>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</si>
  <si>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</si>
  <si>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</si>
  <si>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</si>
  <si>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</si>
  <si>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</si>
  <si>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</si>
  <si>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</si>
  <si>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</si>
  <si>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</si>
  <si>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</si>
  <si>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</si>
  <si>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</si>
  <si>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</si>
  <si>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</si>
  <si>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</si>
  <si>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</si>
  <si>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</si>
  <si>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</si>
  <si>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</si>
  <si>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</si>
  <si>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</si>
  <si>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</si>
  <si>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</si>
  <si>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</si>
  <si>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</si>
  <si>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</si>
  <si>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</si>
  <si>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</si>
  <si>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</si>
  <si>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</si>
  <si>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</si>
  <si>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</si>
  <si>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</si>
  <si>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</si>
  <si>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</si>
  <si>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</si>
  <si>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</si>
  <si>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</si>
  <si>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</si>
  <si>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</si>
  <si>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</si>
  <si>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</si>
  <si>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</si>
  <si>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</si>
  <si>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</si>
  <si>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</si>
  <si>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</si>
  <si>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</si>
  <si>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</si>
  <si>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</si>
  <si>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</si>
  <si>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</si>
  <si>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</si>
  <si>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</si>
  <si>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</si>
  <si>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</si>
  <si>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</si>
  <si>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</si>
  <si>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</si>
  <si>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</si>
  <si>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</si>
  <si>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</si>
  <si>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</si>
  <si>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</si>
  <si>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</si>
  <si>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</si>
  <si>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</si>
  <si>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</si>
  <si>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</si>
  <si>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</si>
  <si>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</si>
  <si>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</si>
  <si>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</si>
  <si>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</si>
  <si>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</si>
  <si>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</si>
  <si>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</si>
  <si>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</si>
  <si>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</si>
  <si>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</si>
  <si>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</si>
  <si>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</si>
  <si>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</si>
  <si>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</si>
  <si>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</si>
  <si>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</si>
  <si>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</si>
  <si>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</si>
  <si>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</si>
  <si>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</si>
  <si>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</si>
  <si>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</si>
  <si>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</si>
  <si>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</si>
  <si>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</si>
  <si>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</si>
  <si>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</si>
  <si>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</si>
  <si>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</si>
  <si>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</si>
  <si>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</si>
  <si>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</si>
  <si>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</si>
  <si>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</si>
  <si>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</si>
  <si>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</si>
  <si>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</si>
  <si>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</si>
  <si>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</si>
  <si>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</si>
  <si>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</si>
  <si>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</si>
  <si>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</si>
  <si>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</si>
  <si>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</si>
  <si>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</si>
  <si>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</si>
  <si>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</si>
  <si>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</si>
  <si>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</si>
  <si>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</si>
  <si>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</si>
  <si>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</si>
  <si>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</si>
  <si>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</si>
  <si>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</si>
  <si>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</si>
  <si>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</si>
  <si>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</si>
  <si>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</si>
  <si>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</si>
  <si>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</si>
  <si>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</si>
  <si>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</si>
  <si>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</si>
  <si>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</si>
  <si>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</si>
  <si>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</si>
  <si>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</si>
  <si>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</si>
  <si>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</si>
  <si>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</si>
  <si>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</si>
  <si>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</si>
  <si>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</si>
  <si>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</si>
  <si>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</si>
  <si>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</si>
  <si>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</si>
  <si>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</si>
  <si>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</si>
  <si>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</si>
  <si>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</si>
  <si>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</si>
  <si>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</si>
  <si>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</si>
  <si>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</si>
  <si>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</si>
  <si>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</si>
  <si>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</si>
  <si>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</si>
  <si>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</si>
  <si>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</si>
  <si>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</si>
  <si>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</si>
  <si>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</si>
  <si>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</si>
  <si>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</si>
  <si>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</si>
  <si>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</si>
  <si>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</si>
  <si>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</si>
  <si>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</si>
  <si>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</si>
  <si>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</si>
  <si>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</si>
  <si>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</si>
  <si>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</si>
  <si>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</si>
  <si>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</si>
  <si>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</si>
  <si>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</si>
  <si>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</si>
  <si>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</si>
  <si>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</si>
  <si>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</si>
  <si>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</si>
  <si>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</si>
  <si>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</si>
  <si>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</si>
  <si>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</si>
  <si>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</si>
  <si>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</si>
  <si>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</si>
  <si>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</si>
  <si>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</si>
  <si>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</si>
  <si>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</si>
  <si>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</si>
  <si>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</si>
  <si>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</si>
  <si>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</si>
  <si>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</si>
  <si>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</si>
  <si>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</si>
  <si>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</si>
  <si>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</si>
  <si>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</si>
  <si>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</si>
  <si>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</si>
  <si>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</si>
  <si>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</si>
  <si>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</si>
  <si>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</si>
  <si>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</si>
  <si>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</si>
  <si>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</si>
  <si>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</si>
  <si>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</si>
  <si>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</si>
  <si>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</si>
  <si>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</si>
  <si>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</si>
  <si>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</si>
  <si>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</si>
  <si>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</si>
  <si>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</si>
  <si>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</si>
  <si>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</si>
  <si>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</si>
  <si>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</si>
  <si>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</si>
  <si>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</si>
  <si>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</si>
  <si>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</si>
  <si>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</si>
  <si>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</si>
  <si>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</si>
  <si>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</si>
  <si>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</si>
  <si>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</si>
  <si>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</si>
  <si>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</si>
  <si>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</si>
  <si>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</si>
  <si>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</si>
  <si>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</si>
  <si>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</si>
  <si>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</si>
  <si>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</si>
  <si>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</si>
  <si>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</si>
  <si>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</si>
  <si>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</si>
  <si>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</si>
  <si>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</si>
  <si>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</si>
  <si>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</si>
  <si>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</si>
  <si>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</si>
  <si>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</si>
  <si>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</si>
  <si>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</si>
  <si>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</si>
  <si>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</si>
  <si>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</si>
  <si>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</si>
  <si>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</si>
  <si>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</si>
  <si>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</si>
  <si>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</si>
  <si>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</si>
  <si>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</si>
  <si>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</si>
  <si>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</si>
  <si>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</si>
  <si>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</si>
  <si>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</si>
  <si>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</si>
  <si>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</si>
  <si>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</si>
  <si>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</si>
  <si>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</si>
  <si>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</si>
  <si>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</si>
  <si>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</si>
  <si>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</si>
  <si>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</si>
  <si>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</si>
  <si>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</si>
  <si>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</si>
  <si>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</si>
  <si>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</si>
  <si>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</si>
  <si>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</si>
  <si>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</si>
  <si>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</si>
  <si>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</si>
  <si>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</si>
  <si>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</si>
  <si>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</si>
  <si>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</si>
  <si>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</si>
  <si>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</si>
  <si>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</si>
  <si>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</si>
  <si>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</si>
  <si>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</si>
  <si>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</si>
  <si>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</si>
  <si>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</si>
  <si>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</si>
  <si>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</si>
  <si>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</si>
  <si>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</si>
  <si>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</si>
  <si>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</si>
  <si>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</si>
  <si>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</si>
  <si>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</si>
  <si>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</si>
  <si>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</si>
  <si>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</si>
  <si>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</si>
  <si>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</si>
  <si>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</si>
  <si>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</si>
  <si>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</si>
  <si>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</si>
  <si>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</si>
  <si>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</si>
  <si>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</si>
  <si>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</si>
  <si>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</si>
  <si>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</si>
  <si>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</si>
  <si>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</si>
  <si>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</si>
  <si>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</si>
  <si>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</si>
  <si>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</si>
  <si>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</si>
  <si>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</si>
  <si>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</si>
  <si>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</si>
  <si>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</si>
  <si>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</si>
  <si>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</si>
  <si>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</si>
  <si>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</si>
  <si>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</si>
  <si>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</si>
  <si>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</si>
  <si>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</si>
  <si>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</si>
  <si>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</si>
  <si>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</si>
  <si>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</si>
  <si>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</si>
  <si>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</si>
  <si>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</si>
  <si>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</si>
  <si>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</si>
  <si>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</si>
  <si>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</si>
  <si>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</si>
  <si>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</si>
  <si>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</si>
  <si>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</si>
  <si>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</si>
  <si>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</si>
  <si>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</si>
  <si>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</si>
  <si>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</si>
  <si>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</si>
  <si>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</si>
  <si>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</si>
  <si>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</si>
  <si>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</si>
  <si>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</si>
  <si>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</si>
  <si>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</si>
  <si>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</si>
  <si>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</si>
  <si>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</si>
  <si>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</si>
  <si>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</si>
  <si>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</si>
  <si>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</si>
  <si>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</si>
  <si>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</si>
  <si>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</si>
  <si>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</si>
  <si>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</si>
  <si>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</si>
  <si>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</si>
  <si>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</si>
  <si>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</si>
  <si>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</si>
  <si>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</si>
  <si>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</si>
  <si>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</si>
  <si>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</si>
  <si>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</si>
  <si>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</si>
  <si>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</si>
  <si>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</si>
  <si>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</si>
  <si>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</si>
  <si>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</si>
  <si>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</si>
  <si>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</si>
  <si>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</si>
  <si>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</si>
  <si>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</si>
  <si>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</si>
  <si>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</si>
  <si>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</si>
  <si>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</si>
  <si>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</si>
  <si>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</si>
  <si>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</si>
  <si>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</si>
  <si>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</si>
  <si>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</si>
  <si>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</si>
  <si>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</si>
  <si>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</si>
  <si>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</si>
  <si>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</si>
  <si>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</si>
  <si>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</si>
  <si>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</si>
  <si>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</si>
  <si>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</si>
  <si>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</si>
  <si>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</si>
  <si>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</si>
  <si>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</si>
  <si>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</si>
  <si>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</si>
  <si>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</si>
  <si>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</si>
  <si>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</si>
  <si>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</si>
  <si>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</si>
  <si>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</si>
  <si>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</si>
  <si>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</si>
  <si>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</si>
  <si>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</si>
  <si>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</si>
  <si>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</si>
  <si>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</si>
  <si>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</si>
  <si>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</si>
  <si>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</si>
  <si>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</si>
  <si>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</si>
  <si>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</si>
  <si>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</si>
  <si>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</si>
  <si>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</si>
  <si>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</si>
  <si>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</si>
  <si>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</si>
  <si>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</si>
  <si>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</si>
  <si>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</si>
  <si>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</si>
  <si>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</si>
  <si>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</si>
  <si>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</si>
  <si>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</si>
  <si>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</si>
  <si>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</si>
  <si>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</si>
  <si>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</si>
  <si>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</si>
  <si>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</si>
  <si>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</si>
  <si>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</si>
  <si>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</si>
  <si>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</si>
  <si>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</si>
  <si>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</si>
  <si>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</si>
  <si>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</si>
  <si>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</si>
  <si>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</si>
  <si>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</si>
  <si>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</si>
  <si>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</si>
  <si>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</si>
  <si>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</si>
  <si>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</si>
  <si>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</si>
  <si>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</si>
  <si>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</si>
  <si>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</si>
  <si>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</si>
  <si>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</si>
  <si>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</si>
  <si>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</si>
  <si>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</si>
  <si>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</si>
  <si>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</si>
  <si>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</si>
  <si>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</si>
  <si>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</si>
  <si>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</si>
  <si>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</si>
  <si>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</si>
  <si>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</si>
  <si>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</si>
  <si>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</si>
  <si>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</si>
  <si>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</si>
  <si>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</si>
  <si>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</si>
  <si>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</si>
  <si>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</si>
  <si>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</si>
  <si>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</si>
  <si>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</si>
  <si>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</si>
  <si>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</si>
  <si>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</si>
  <si>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</si>
  <si>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</si>
  <si>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</si>
  <si>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</si>
  <si>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</si>
  <si>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</si>
  <si>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</si>
  <si>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</si>
  <si>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</si>
  <si>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</si>
  <si>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</si>
  <si>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</si>
  <si>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</si>
  <si>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</si>
  <si>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</si>
  <si>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</si>
  <si>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</si>
  <si>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</si>
  <si>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</si>
  <si>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</si>
  <si>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</si>
  <si>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</si>
  <si>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</si>
  <si>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</si>
  <si>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</si>
  <si>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</si>
  <si>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</si>
  <si>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</si>
  <si>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</si>
  <si>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</si>
  <si>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</si>
  <si>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</si>
  <si>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</si>
  <si>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</si>
  <si>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</si>
  <si>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</si>
  <si>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</si>
  <si>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</si>
  <si>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</si>
  <si>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</si>
  <si>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</si>
  <si>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</si>
  <si>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</si>
  <si>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</si>
  <si>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</si>
  <si>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</si>
  <si>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</si>
  <si>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</si>
  <si>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</si>
  <si>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</si>
  <si>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</si>
  <si>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</si>
  <si>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</si>
  <si>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</si>
  <si>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</si>
  <si>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</si>
  <si>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</si>
  <si>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</si>
  <si>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</si>
  <si>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</si>
  <si>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</si>
  <si>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</si>
  <si>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</si>
  <si>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</si>
  <si>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</si>
  <si>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</si>
  <si>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</si>
  <si>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</si>
  <si>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</si>
  <si>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</si>
  <si>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</si>
  <si>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</si>
  <si>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</si>
  <si>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</si>
  <si>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</si>
  <si>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</si>
  <si>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</si>
  <si>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</si>
  <si>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</si>
  <si>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</si>
  <si>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</si>
  <si>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</si>
  <si>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</si>
  <si>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</si>
  <si>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</si>
  <si>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</si>
  <si>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</si>
  <si>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</si>
  <si>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</si>
  <si>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</si>
  <si>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</si>
  <si>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</si>
  <si>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</si>
  <si>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</si>
  <si>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</si>
  <si>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</si>
  <si>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</si>
  <si>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</si>
  <si>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</si>
  <si>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</si>
  <si>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</si>
  <si>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</si>
  <si>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</si>
  <si>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Bamberg</t>
  </si>
  <si>
    <t>Stadtwerke Bamberg Energie- und Wasserversorgungs GmbH</t>
  </si>
  <si>
    <t>Margaretendamm 28</t>
  </si>
  <si>
    <t>Bamberg</t>
  </si>
  <si>
    <t>Sebastian Gareis</t>
  </si>
  <si>
    <t>edm-vnb-gas@stadtwerke-bamberg.de</t>
  </si>
  <si>
    <t>0951-77-4710</t>
  </si>
  <si>
    <t>9870010500006</t>
  </si>
  <si>
    <t>Am Sendelbach</t>
  </si>
  <si>
    <t>WMO 10675</t>
  </si>
  <si>
    <t>DE_GHD04</t>
  </si>
  <si>
    <t>THE0NKH700105000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</si>
</sst>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73" borderId="63" xfId="0" applyFont="1" applyFill="1" applyBorder="1" applyAlignment="1" applyProtection="1">
      <alignment horizontal="center" vertical="center"/>
      <protection locked="0"/>
    </xf>
    <xf numFmtId="0" fontId="0" fillId="73" borderId="72" xfId="0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Alignment="1" applyProtection="1">
      <protection hidden="1"/>
    </xf>
    <xf numFmtId="1" fontId="12" fillId="0" borderId="0" xfId="3" applyNumberFormat="1" applyFont="1" applyFill="1" applyAlignment="1" applyProtection="1">
      <protection hidden="1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44287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67" t="s">
        <v>663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96052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Stadtwerke Bamberg</v>
      </c>
      <c r="E28" s="38"/>
      <c r="F28" s="11"/>
      <c r="G28" s="2"/>
    </row>
    <row r="29" spans="1:15">
      <c r="B29" s="15"/>
      <c r="C29" s="22" t="s">
        <v>393</v>
      </c>
      <c r="D29" s="45" t="s">
        <v>656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abSelected="1" zoomScale="80" zoomScaleNormal="80" workbookViewId="0">
      <selection activeCell="D17" sqref="D1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Stadtwerke Bamberg Energie- und Wasserversorgungs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Stadtwerke Bamberg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9870010500006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652</v>
      </c>
      <c r="D13" s="42" t="s">
        <v>667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4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659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63" priority="21">
      <formula>IF(#REF!="Gaspool",1,0)</formula>
    </cfRule>
  </conditionalFormatting>
  <conditionalFormatting sqref="D46:D59">
    <cfRule type="expression" dxfId="62" priority="17">
      <formula>IF(CELL("Zeile",D46)&lt;$D$43+CELL("Zeile",$D$45),1,0)</formula>
    </cfRule>
  </conditionalFormatting>
  <conditionalFormatting sqref="D46:D59">
    <cfRule type="expression" dxfId="61" priority="16">
      <formula>IF(CELL(D46)&lt;$D$33+27,1,0)</formula>
    </cfRule>
  </conditionalFormatting>
  <conditionalFormatting sqref="D20">
    <cfRule type="expression" dxfId="60" priority="15">
      <formula>IF($D$19=$H$19,1,0)</formula>
    </cfRule>
  </conditionalFormatting>
  <conditionalFormatting sqref="D28">
    <cfRule type="expression" dxfId="59" priority="4">
      <formula>IF($D$15="synthetisch",1,0)</formula>
    </cfRule>
  </conditionalFormatting>
  <conditionalFormatting sqref="D25">
    <cfRule type="expression" dxfId="58" priority="2">
      <formula>IF(AND($D$24=$I$24,$D$23=$H$23),1,0)</formula>
    </cfRule>
  </conditionalFormatting>
  <conditionalFormatting sqref="D23:D25">
    <cfRule type="expression" dxfId="57" priority="5">
      <formula>IF($D$15="analytisch",1,0)</formula>
    </cfRule>
  </conditionalFormatting>
  <conditionalFormatting sqref="D24">
    <cfRule type="expression" dxfId="56" priority="3">
      <formula>IF($D$23="nein",1)</formula>
    </cfRule>
  </conditionalFormatting>
  <conditionalFormatting sqref="D45">
    <cfRule type="expression" dxfId="9" priority="1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E4" sqref="E4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371" t="str">
        <f>Netzbetreiber!D9</f>
        <v>Stadtwerke Bamberg Energie- und Wasserversorgungs GmbH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Netzbetreiber!D29</f>
        <v>Stadtwerke Bamberg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72" t="str">
        <f>Netzbetreiber!D11</f>
        <v>9870010500006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f>Netzbetreiber!D6</f>
        <v>44470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 t="str">
        <f>INDEX('SLP-Verfahren'!D45:D59,'SLP-Temp-Gebiet #01'!F10)</f>
        <v>Bamberg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502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368" t="s">
        <v>664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 t="s">
        <v>665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503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654</v>
      </c>
      <c r="T26" s="210" t="s">
        <v>655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1</v>
      </c>
      <c r="H30" s="179">
        <f t="shared" si="2"/>
        <v>1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255</v>
      </c>
      <c r="E32" s="288">
        <f>1-SUMPRODUCT(F30:N30,F32:N32)</f>
        <v>0.5333</v>
      </c>
      <c r="F32" s="288">
        <f>ROUND(F33/$D$33,4)</f>
        <v>0.26669999999999999</v>
      </c>
      <c r="G32" s="288">
        <f t="shared" ref="G32:N32" si="3">ROUND(G33/$D$33,4)</f>
        <v>0.1333</v>
      </c>
      <c r="H32" s="288">
        <f t="shared" si="3"/>
        <v>6.6699999999999995E-2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1.875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142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537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MeteoGroup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Am Sendelbach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 t="str">
        <f>E25</f>
        <v>WMO 10675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4</v>
      </c>
    </row>
    <row r="64" spans="2:28" ht="15" customHeight="1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1</v>
      </c>
      <c r="H64" s="179">
        <f t="shared" si="11"/>
        <v>1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525</v>
      </c>
      <c r="D66" s="187" t="s">
        <v>255</v>
      </c>
      <c r="E66" s="288">
        <f>1-SUMPRODUCT(F64:N64,F66:N66)</f>
        <v>0.5333</v>
      </c>
      <c r="F66" s="288">
        <f>ROUND(F67/$D$67,4)</f>
        <v>0.26669999999999999</v>
      </c>
      <c r="G66" s="288">
        <f t="shared" ref="G66:N66" si="12">ROUND(G67/$D$67,4)</f>
        <v>0.1333</v>
      </c>
      <c r="H66" s="288">
        <f t="shared" si="12"/>
        <v>6.6699999999999995E-2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1.875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537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579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55" priority="30">
      <formula>IF(F$20&lt;=$F$18,1,0)</formula>
    </cfRule>
  </conditionalFormatting>
  <conditionalFormatting sqref="E33:N37">
    <cfRule type="expression" dxfId="54" priority="29">
      <formula>IF(E$31&lt;=$F$29,1,0)</formula>
    </cfRule>
  </conditionalFormatting>
  <conditionalFormatting sqref="E26:N26">
    <cfRule type="expression" dxfId="53" priority="28">
      <formula>IF(E$20&lt;=$F$18,1,0)</formula>
    </cfRule>
  </conditionalFormatting>
  <conditionalFormatting sqref="E26:N26">
    <cfRule type="expression" dxfId="52" priority="27">
      <formula>IF(E$20&lt;=$F$18,1,0)</formula>
    </cfRule>
  </conditionalFormatting>
  <conditionalFormatting sqref="E57:N60">
    <cfRule type="expression" dxfId="51" priority="24">
      <formula>IF(E$55&lt;=$F$53,1,0)</formula>
    </cfRule>
  </conditionalFormatting>
  <conditionalFormatting sqref="E61:N61">
    <cfRule type="expression" dxfId="50" priority="23">
      <formula>IF(E$55&lt;=$F$53,1,0)</formula>
    </cfRule>
  </conditionalFormatting>
  <conditionalFormatting sqref="E67:N69">
    <cfRule type="expression" dxfId="49" priority="17">
      <formula>IF(E$65&lt;=$F$63,1,0)</formula>
    </cfRule>
  </conditionalFormatting>
  <conditionalFormatting sqref="E66:N69 E71:N71">
    <cfRule type="expression" dxfId="48" priority="15">
      <formula>IF(E$65&gt;$F$63,1,0)</formula>
    </cfRule>
  </conditionalFormatting>
  <conditionalFormatting sqref="E57:N61">
    <cfRule type="expression" dxfId="47" priority="14">
      <formula>IF(E$55&gt;$F$53,1,0)</formula>
    </cfRule>
  </conditionalFormatting>
  <conditionalFormatting sqref="E21:N21 E26:N26 F22:N25">
    <cfRule type="expression" dxfId="46" priority="13">
      <formula>IF(E$20&gt;$F$18,1,0)</formula>
    </cfRule>
  </conditionalFormatting>
  <conditionalFormatting sqref="E33:N37">
    <cfRule type="expression" dxfId="45" priority="12">
      <formula>IF(E$31&gt;$F$29,1,0)</formula>
    </cfRule>
  </conditionalFormatting>
  <conditionalFormatting sqref="H11 H8:H9">
    <cfRule type="expression" dxfId="44" priority="11">
      <formula>IF($F$9=1,1,0)</formula>
    </cfRule>
  </conditionalFormatting>
  <conditionalFormatting sqref="E56:N56">
    <cfRule type="expression" dxfId="43" priority="10">
      <formula>IF(E$55&gt;$F$53,1,0)</formula>
    </cfRule>
  </conditionalFormatting>
  <conditionalFormatting sqref="E32:N32">
    <cfRule type="expression" dxfId="42" priority="9">
      <formula>IF(E$31&gt;$F$29,1,0)</formula>
    </cfRule>
  </conditionalFormatting>
  <conditionalFormatting sqref="E71:N71">
    <cfRule type="expression" dxfId="41" priority="8">
      <formula>IF(E$65&lt;=$F$63,1,0)</formula>
    </cfRule>
  </conditionalFormatting>
  <conditionalFormatting sqref="H10">
    <cfRule type="expression" dxfId="40" priority="7">
      <formula>IF($F$9=1,1,0)</formula>
    </cfRule>
  </conditionalFormatting>
  <conditionalFormatting sqref="E70:N70">
    <cfRule type="expression" dxfId="39" priority="4">
      <formula>IF(E$65&lt;=$F$63,1,0)</formula>
    </cfRule>
  </conditionalFormatting>
  <conditionalFormatting sqref="E70:N70">
    <cfRule type="expression" dxfId="38" priority="3">
      <formula>IF(E$65&gt;$F$63,1,0)</formula>
    </cfRule>
  </conditionalFormatting>
  <conditionalFormatting sqref="E22:E25">
    <cfRule type="expression" dxfId="8" priority="2">
      <formula>IF(E$20&lt;=$F$18,1,0)</formula>
    </cfRule>
  </conditionalFormatting>
  <conditionalFormatting sqref="E22:E25">
    <cfRule type="expression" dxfId="7" priority="1">
      <formula>IF(E$20&gt;$F$18,1,0)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Stadtwerke Bamberg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524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525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142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537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524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525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537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4" t="s">
        <v>579</v>
      </c>
      <c r="D72" s="354"/>
      <c r="E72" s="354"/>
      <c r="F72" s="35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N5" zoomScale="160" zoomScaleNormal="160" workbookViewId="0">
      <selection activeCell="Y16" sqref="Y16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Stadtwerke Bamberg Energie- und Wasserversorgungs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Stadtwerke Bamberg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9870010500006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44470</v>
      </c>
      <c r="E8" s="131"/>
      <c r="F8" s="131"/>
      <c r="H8" s="129" t="s">
        <v>493</v>
      </c>
      <c r="J8" s="133">
        <f>COUNTA(D12:D100)</f>
        <v>4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 t="s">
        <v>56</v>
      </c>
      <c r="F11" s="307" t="str">
        <f>VLOOKUP($E11,'BDEW-Standard'!$B$3:$M$158,F$9,0)</f>
        <v>G14</v>
      </c>
      <c r="H11" s="168">
        <f>ROUND(VLOOKUP($E11,'BDEW-Standard'!$B$3:$M$158,H$9,0),7)</f>
        <v>3.159294</v>
      </c>
      <c r="I11" s="168">
        <f>ROUND(VLOOKUP($E11,'BDEW-Standard'!$B$3:$M$158,I$9,0),7)</f>
        <v>-37.406886</v>
      </c>
      <c r="J11" s="168">
        <f>ROUND(VLOOKUP($E11,'BDEW-Standard'!$B$3:$M$158,J$9,0),7)</f>
        <v>6.1418926000000003</v>
      </c>
      <c r="K11" s="168">
        <f>ROUND(VLOOKUP($E11,'BDEW-Standard'!$B$3:$M$158,K$9,0),7)</f>
        <v>7.6563300000000001E-2</v>
      </c>
      <c r="L11" s="215">
        <f>ROUND(VLOOKUP($E11,'BDEW-Standard'!$B$3:$M$158,L$9,0),1)</f>
        <v>40</v>
      </c>
      <c r="M11" s="168">
        <f>ROUND(VLOOKUP($E11,'BDEW-Standard'!$B$3:$M$158,M$9,0),7)</f>
        <v>0</v>
      </c>
      <c r="N11" s="168">
        <f>ROUND(VLOOKUP($E11,'BDEW-Standard'!$B$3:$M$158,N$9,0),7)</f>
        <v>0</v>
      </c>
      <c r="O11" s="168">
        <f>ROUND(VLOOKUP($E11,'BDEW-Standard'!$B$3:$M$158,O$9,0),7)</f>
        <v>0</v>
      </c>
      <c r="P11" s="168">
        <f>ROUND(VLOOKUP($E11,'BDEW-Standard'!$B$3:$M$158,P$9,0),7)</f>
        <v>0</v>
      </c>
      <c r="Q11" s="214">
        <f>($H11/(1+($I11/($Q$9-$L11))^$J11)+$K11)+MAX($M11*$Q$9+$N11,$O11*$Q$9+$P11)</f>
        <v>0.95202070224521151</v>
      </c>
      <c r="R11" s="169">
        <f>ROUND(VLOOKUP(MID($E11,4,3),'Wochentag F(WT)'!$B$7:$J$22,R$9,0),4)</f>
        <v>1</v>
      </c>
      <c r="S11" s="169">
        <f>ROUND(VLOOKUP(MID($E11,4,3),'Wochentag F(WT)'!$B$7:$J$22,S$9,0),4)</f>
        <v>1</v>
      </c>
      <c r="T11" s="169">
        <f>ROUND(VLOOKUP(MID($E11,4,3),'Wochentag F(WT)'!$B$7:$J$22,T$9,0),4)</f>
        <v>1</v>
      </c>
      <c r="U11" s="169">
        <f>ROUND(VLOOKUP(MID($E11,4,3),'Wochentag F(WT)'!$B$7:$J$22,U$9,0),4)</f>
        <v>1</v>
      </c>
      <c r="V11" s="169">
        <f>ROUND(VLOOKUP(MID($E11,4,3),'Wochentag F(WT)'!$B$7:$J$22,V$9,0),4)</f>
        <v>1</v>
      </c>
      <c r="W11" s="169">
        <f>ROUND(VLOOKUP(MID($E11,4,3),'Wochentag F(WT)'!$B$7:$J$22,W$9,0),4)</f>
        <v>1</v>
      </c>
      <c r="X11" s="170">
        <f>7-SUM(R11:W11)</f>
        <v>1</v>
      </c>
      <c r="Y11" s="303">
        <v>365.12299999999999</v>
      </c>
    </row>
    <row r="12" spans="2:26">
      <c r="B12" s="142">
        <v>1</v>
      </c>
      <c r="C12" s="143" t="str">
        <f t="shared" ref="C12:C41" si="0">$D$6</f>
        <v>Stadtwerke Bamberg</v>
      </c>
      <c r="D12" s="63" t="s">
        <v>248</v>
      </c>
      <c r="E12" s="369" t="s">
        <v>56</v>
      </c>
      <c r="F12" s="308" t="str">
        <f>VLOOKUP($E12,'BDEW-Standard'!$B$3:$M$158,F$9,0)</f>
        <v>G14</v>
      </c>
      <c r="H12" s="279">
        <f>ROUND(VLOOKUP($E12,'BDEW-Standard'!$B$3:$M$158,H$9,0),7)</f>
        <v>3.159294</v>
      </c>
      <c r="I12" s="279">
        <f>ROUND(VLOOKUP($E12,'BDEW-Standard'!$B$3:$M$158,I$9,0),7)</f>
        <v>-37.406886</v>
      </c>
      <c r="J12" s="279">
        <f>ROUND(VLOOKUP($E12,'BDEW-Standard'!$B$3:$M$158,J$9,0),7)</f>
        <v>6.1418926000000003</v>
      </c>
      <c r="K12" s="279">
        <f>ROUND(VLOOKUP($E12,'BDEW-Standard'!$B$3:$M$158,K$9,0),7)</f>
        <v>7.6563300000000001E-2</v>
      </c>
      <c r="L12" s="280">
        <f>ROUND(VLOOKUP($E12,'BDEW-Standard'!$B$3:$M$158,L$9,0),1)</f>
        <v>40</v>
      </c>
      <c r="M12" s="279">
        <f>ROUND(VLOOKUP($E12,'BDEW-Standard'!$B$3:$M$158,M$9,0),7)</f>
        <v>0</v>
      </c>
      <c r="N12" s="279">
        <f>ROUND(VLOOKUP($E12,'BDEW-Standard'!$B$3:$M$158,N$9,0),7)</f>
        <v>0</v>
      </c>
      <c r="O12" s="279">
        <f>ROUND(VLOOKUP($E12,'BDEW-Standard'!$B$3:$M$158,O$9,0),7)</f>
        <v>0</v>
      </c>
      <c r="P12" s="279">
        <f>ROUND(VLOOKUP($E12,'BDEW-Standard'!$B$3:$M$158,P$9,0),7)</f>
        <v>0</v>
      </c>
      <c r="Q12" s="281">
        <f>($H12/(1+($I12/($Q$9-$L12))^$J12)+$K12)+MAX($M12*$Q$9+$N12,$O12*$Q$9+$P12)</f>
        <v>0.95202070224521151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Stadtwerke Bamberg</v>
      </c>
      <c r="D13" s="63" t="s">
        <v>248</v>
      </c>
      <c r="E13" s="370" t="s">
        <v>66</v>
      </c>
      <c r="F13" s="308" t="str">
        <f>VLOOKUP($E13,'BDEW-Standard'!$B$3:$M$158,F$9,0)</f>
        <v>G24</v>
      </c>
      <c r="H13" s="279">
        <f>ROUND(VLOOKUP($E13,'BDEW-Standard'!$B$3:$M$158,H$9,0),7)</f>
        <v>2.4859160999999999</v>
      </c>
      <c r="I13" s="279">
        <f>ROUND(VLOOKUP($E13,'BDEW-Standard'!$B$3:$M$158,I$9,0),7)</f>
        <v>-35.043597800000001</v>
      </c>
      <c r="J13" s="279">
        <f>ROUND(VLOOKUP($E13,'BDEW-Standard'!$B$3:$M$158,J$9,0),7)</f>
        <v>6.2818214000000001</v>
      </c>
      <c r="K13" s="279">
        <f>ROUND(VLOOKUP($E13,'BDEW-Standard'!$B$3:$M$158,K$9,0),7)</f>
        <v>0.1065396</v>
      </c>
      <c r="L13" s="280">
        <f>ROUND(VLOOKUP($E13,'BDEW-Standard'!$B$3:$M$158,L$9,0),1)</f>
        <v>40</v>
      </c>
      <c r="M13" s="279">
        <f>ROUND(VLOOKUP($E13,'BDEW-Standard'!$B$3:$M$158,M$9,0),7)</f>
        <v>0</v>
      </c>
      <c r="N13" s="279">
        <f>ROUND(VLOOKUP($E13,'BDEW-Standard'!$B$3:$M$158,N$9,0),7)</f>
        <v>0</v>
      </c>
      <c r="O13" s="279">
        <f>ROUND(VLOOKUP($E13,'BDEW-Standard'!$B$3:$M$158,O$9,0),7)</f>
        <v>0</v>
      </c>
      <c r="P13" s="279">
        <f>ROUND(VLOOKUP($E13,'BDEW-Standard'!$B$3:$M$158,P$9,0),7)</f>
        <v>0</v>
      </c>
      <c r="Q13" s="281">
        <f>($H13/(1+($I13/($Q$9-$L13))^$J13)+$K13)+MAX($M13*$Q$9+$N13,$O13*$Q$9+$P13)</f>
        <v>1.0041152127680664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>7-SUM(R13:W13)</f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Stadtwerke Bamberg</v>
      </c>
      <c r="D14" s="63" t="s">
        <v>248</v>
      </c>
      <c r="E14" s="370" t="s">
        <v>666</v>
      </c>
      <c r="F14" s="308" t="str">
        <f>VLOOKUP($E14,'BDEW-Standard'!$B$3:$M$158,F$9,0)</f>
        <v>HD4</v>
      </c>
      <c r="H14" s="279">
        <f>ROUND(VLOOKUP($E14,'BDEW-Standard'!$B$3:$M$158,H$9,0),7)</f>
        <v>3.0084346000000002</v>
      </c>
      <c r="I14" s="279">
        <f>ROUND(VLOOKUP($E14,'BDEW-Standard'!$B$3:$M$158,I$9,0),7)</f>
        <v>-36.607845300000001</v>
      </c>
      <c r="J14" s="279">
        <f>ROUND(VLOOKUP($E14,'BDEW-Standard'!$B$3:$M$158,J$9,0),7)</f>
        <v>7.3211870000000001</v>
      </c>
      <c r="K14" s="279">
        <f>ROUND(VLOOKUP($E14,'BDEW-Standard'!$B$3:$M$158,K$9,0),7)</f>
        <v>0.15496599999999999</v>
      </c>
      <c r="L14" s="280">
        <f>ROUND(VLOOKUP($E14,'BDEW-Standard'!$B$3:$M$158,L$9,0),1)</f>
        <v>40</v>
      </c>
      <c r="M14" s="279">
        <f>ROUND(VLOOKUP($E14,'BDEW-Standard'!$B$3:$M$158,M$9,0),7)</f>
        <v>0</v>
      </c>
      <c r="N14" s="279">
        <f>ROUND(VLOOKUP($E14,'BDEW-Standard'!$B$3:$M$158,N$9,0),7)</f>
        <v>0</v>
      </c>
      <c r="O14" s="279">
        <f>ROUND(VLOOKUP($E14,'BDEW-Standard'!$B$3:$M$158,O$9,0),7)</f>
        <v>0</v>
      </c>
      <c r="P14" s="279">
        <f>ROUND(VLOOKUP($E14,'BDEW-Standard'!$B$3:$M$158,P$9,0),7)</f>
        <v>0</v>
      </c>
      <c r="Q14" s="281">
        <f>($H14/(1+($I14/($Q$9-$L14))^$J14)+$K14)+MAX($M14*$Q$9+$N14,$O14*$Q$9+$P14)</f>
        <v>0.97302438504000599</v>
      </c>
      <c r="R14" s="282">
        <f>ROUND(VLOOKUP(MID($E14,4,3),'Wochentag F(WT)'!$B$7:$J$22,R$9,0),4)</f>
        <v>1.03</v>
      </c>
      <c r="S14" s="282">
        <f>ROUND(VLOOKUP(MID($E14,4,3),'Wochentag F(WT)'!$B$7:$J$22,S$9,0),4)</f>
        <v>1.03</v>
      </c>
      <c r="T14" s="282">
        <f>ROUND(VLOOKUP(MID($E14,4,3),'Wochentag F(WT)'!$B$7:$J$22,T$9,0),4)</f>
        <v>1.02</v>
      </c>
      <c r="U14" s="282">
        <f>ROUND(VLOOKUP(MID($E14,4,3),'Wochentag F(WT)'!$B$7:$J$22,U$9,0),4)</f>
        <v>1.03</v>
      </c>
      <c r="V14" s="282">
        <f>ROUND(VLOOKUP(MID($E14,4,3),'Wochentag F(WT)'!$B$7:$J$22,V$9,0),4)</f>
        <v>1.01</v>
      </c>
      <c r="W14" s="282">
        <f>ROUND(VLOOKUP(MID($E14,4,3),'Wochentag F(WT)'!$B$7:$J$22,W$9,0),4)</f>
        <v>0.93</v>
      </c>
      <c r="X14" s="283">
        <f>7-SUM(R14:W14)</f>
        <v>0.95000000000000018</v>
      </c>
      <c r="Y14" s="304"/>
      <c r="Z14" s="213"/>
    </row>
    <row r="15" spans="2:26" s="144" customFormat="1">
      <c r="B15" s="145">
        <v>4</v>
      </c>
      <c r="C15" s="146" t="str">
        <f t="shared" si="0"/>
        <v>Stadtwerke Bamberg</v>
      </c>
      <c r="D15" s="63" t="s">
        <v>248</v>
      </c>
      <c r="E15" s="370" t="s">
        <v>4</v>
      </c>
      <c r="F15" s="308" t="str">
        <f>VLOOKUP($E15,'BDEW-Standard'!$B$3:$M$158,F$9,0)</f>
        <v>HK3</v>
      </c>
      <c r="H15" s="279">
        <f>ROUND(VLOOKUP($E15,'BDEW-Standard'!$B$3:$M$158,H$9,0),7)</f>
        <v>0.40409319999999999</v>
      </c>
      <c r="I15" s="279">
        <f>ROUND(VLOOKUP($E15,'BDEW-Standard'!$B$3:$M$158,I$9,0),7)</f>
        <v>-24.439296800000001</v>
      </c>
      <c r="J15" s="279">
        <f>ROUND(VLOOKUP($E15,'BDEW-Standard'!$B$3:$M$158,J$9,0),7)</f>
        <v>6.5718174999999999</v>
      </c>
      <c r="K15" s="279">
        <f>ROUND(VLOOKUP($E15,'BDEW-Standard'!$B$3:$M$158,K$9,0),7)</f>
        <v>0.71077100000000004</v>
      </c>
      <c r="L15" s="280">
        <f>ROUND(VLOOKUP($E15,'BDEW-Standard'!$B$3:$M$158,L$9,0),1)</f>
        <v>40</v>
      </c>
      <c r="M15" s="279">
        <f>ROUND(VLOOKUP($E15,'BDEW-Standard'!$B$3:$M$158,M$9,0),7)</f>
        <v>0</v>
      </c>
      <c r="N15" s="279">
        <f>ROUND(VLOOKUP($E15,'BDEW-Standard'!$B$3:$M$158,N$9,0),7)</f>
        <v>0</v>
      </c>
      <c r="O15" s="279">
        <f>ROUND(VLOOKUP($E15,'BDEW-Standard'!$B$3:$M$158,O$9,0),7)</f>
        <v>0</v>
      </c>
      <c r="P15" s="279">
        <f>ROUND(VLOOKUP($E15,'BDEW-Standard'!$B$3:$M$158,P$9,0),7)</f>
        <v>0</v>
      </c>
      <c r="Q15" s="281">
        <f>($H15/(1+($I15/($Q$9-$L15))^$J15)+$K15)+MAX($M15*$Q$9+$N15,$O15*$Q$9+$P15)</f>
        <v>1.0561214000512988</v>
      </c>
      <c r="R15" s="282">
        <f>ROUND(VLOOKUP(MID($E15,4,3),'Wochentag F(WT)'!$B$7:$J$22,R$9,0),4)</f>
        <v>1</v>
      </c>
      <c r="S15" s="282">
        <f>ROUND(VLOOKUP(MID($E15,4,3),'Wochentag F(WT)'!$B$7:$J$22,S$9,0),4)</f>
        <v>1</v>
      </c>
      <c r="T15" s="282">
        <f>ROUND(VLOOKUP(MID($E15,4,3),'Wochentag F(WT)'!$B$7:$J$22,T$9,0),4)</f>
        <v>1</v>
      </c>
      <c r="U15" s="282">
        <f>ROUND(VLOOKUP(MID($E15,4,3),'Wochentag F(WT)'!$B$7:$J$22,U$9,0),4)</f>
        <v>1</v>
      </c>
      <c r="V15" s="282">
        <f>ROUND(VLOOKUP(MID($E15,4,3),'Wochentag F(WT)'!$B$7:$J$22,V$9,0),4)</f>
        <v>1</v>
      </c>
      <c r="W15" s="282">
        <f>ROUND(VLOOKUP(MID($E15,4,3),'Wochentag F(WT)'!$B$7:$J$22,W$9,0),4)</f>
        <v>1</v>
      </c>
      <c r="X15" s="283">
        <f>7-SUM(R15:W15)</f>
        <v>1</v>
      </c>
      <c r="Y15" s="304"/>
      <c r="Z15" s="213"/>
    </row>
    <row r="16" spans="2:26" s="144" customFormat="1">
      <c r="B16" s="145">
        <v>5</v>
      </c>
      <c r="C16" s="146" t="str">
        <f t="shared" si="0"/>
        <v>Stadtwerke Bamberg</v>
      </c>
      <c r="D16" s="63"/>
      <c r="E16" s="166"/>
      <c r="F16" s="308"/>
      <c r="H16" s="279"/>
      <c r="I16" s="279"/>
      <c r="J16" s="279"/>
      <c r="K16" s="279"/>
      <c r="L16" s="280"/>
      <c r="M16" s="279"/>
      <c r="N16" s="279"/>
      <c r="O16" s="279"/>
      <c r="P16" s="279"/>
      <c r="Q16" s="281"/>
      <c r="R16" s="282"/>
      <c r="S16" s="282"/>
      <c r="T16" s="282"/>
      <c r="U16" s="282"/>
      <c r="V16" s="282"/>
      <c r="W16" s="282"/>
      <c r="X16" s="283"/>
      <c r="Y16" s="304"/>
      <c r="Z16" s="213"/>
    </row>
    <row r="17" spans="2:26" s="144" customFormat="1">
      <c r="B17" s="145">
        <v>6</v>
      </c>
      <c r="C17" s="146" t="str">
        <f t="shared" si="0"/>
        <v>Stadtwerke Bamberg</v>
      </c>
      <c r="D17" s="63"/>
      <c r="E17" s="166"/>
      <c r="F17" s="308"/>
      <c r="H17" s="279"/>
      <c r="I17" s="279"/>
      <c r="J17" s="279"/>
      <c r="K17" s="279"/>
      <c r="L17" s="280"/>
      <c r="M17" s="279"/>
      <c r="N17" s="279"/>
      <c r="O17" s="279"/>
      <c r="P17" s="279"/>
      <c r="Q17" s="281"/>
      <c r="R17" s="282"/>
      <c r="S17" s="282"/>
      <c r="T17" s="282"/>
      <c r="U17" s="282"/>
      <c r="V17" s="282"/>
      <c r="W17" s="282"/>
      <c r="X17" s="283"/>
      <c r="Y17" s="304"/>
      <c r="Z17" s="213"/>
    </row>
    <row r="18" spans="2:26" s="144" customFormat="1">
      <c r="B18" s="145">
        <v>7</v>
      </c>
      <c r="C18" s="146" t="str">
        <f t="shared" si="0"/>
        <v>Stadtwerke Bamberg</v>
      </c>
      <c r="D18" s="63"/>
      <c r="E18" s="166"/>
      <c r="F18" s="308"/>
      <c r="H18" s="279"/>
      <c r="I18" s="279"/>
      <c r="J18" s="279"/>
      <c r="K18" s="279"/>
      <c r="L18" s="280"/>
      <c r="M18" s="279"/>
      <c r="N18" s="279"/>
      <c r="O18" s="279"/>
      <c r="P18" s="279"/>
      <c r="Q18" s="281"/>
      <c r="R18" s="282"/>
      <c r="S18" s="282"/>
      <c r="T18" s="282"/>
      <c r="U18" s="282"/>
      <c r="V18" s="282"/>
      <c r="W18" s="282"/>
      <c r="X18" s="283"/>
      <c r="Y18" s="304"/>
      <c r="Z18" s="213"/>
    </row>
    <row r="19" spans="2:26" s="144" customFormat="1">
      <c r="B19" s="145">
        <v>8</v>
      </c>
      <c r="C19" s="146" t="str">
        <f t="shared" si="0"/>
        <v>Stadtwerke Bamberg</v>
      </c>
      <c r="D19" s="63"/>
      <c r="E19" s="166"/>
      <c r="F19" s="308"/>
      <c r="H19" s="279"/>
      <c r="I19" s="279"/>
      <c r="J19" s="279"/>
      <c r="K19" s="279"/>
      <c r="L19" s="280"/>
      <c r="M19" s="279"/>
      <c r="N19" s="279"/>
      <c r="O19" s="279"/>
      <c r="P19" s="279"/>
      <c r="Q19" s="281"/>
      <c r="R19" s="282"/>
      <c r="S19" s="282"/>
      <c r="T19" s="282"/>
      <c r="U19" s="282"/>
      <c r="V19" s="282"/>
      <c r="W19" s="282"/>
      <c r="X19" s="283"/>
      <c r="Y19" s="304"/>
      <c r="Z19" s="213"/>
    </row>
    <row r="20" spans="2:26" s="144" customFormat="1">
      <c r="B20" s="145">
        <v>9</v>
      </c>
      <c r="C20" s="146" t="str">
        <f t="shared" si="0"/>
        <v>Stadtwerke Bamberg</v>
      </c>
      <c r="D20" s="63"/>
      <c r="E20" s="166"/>
      <c r="F20" s="308"/>
      <c r="H20" s="279"/>
      <c r="I20" s="279"/>
      <c r="J20" s="279"/>
      <c r="K20" s="279"/>
      <c r="L20" s="280"/>
      <c r="M20" s="279"/>
      <c r="N20" s="279"/>
      <c r="O20" s="279"/>
      <c r="P20" s="279"/>
      <c r="Q20" s="281"/>
      <c r="R20" s="282"/>
      <c r="S20" s="282"/>
      <c r="T20" s="282"/>
      <c r="U20" s="282"/>
      <c r="V20" s="282"/>
      <c r="W20" s="282"/>
      <c r="X20" s="283"/>
      <c r="Y20" s="304"/>
      <c r="Z20" s="213"/>
    </row>
    <row r="21" spans="2:26" s="144" customFormat="1">
      <c r="B21" s="145">
        <v>10</v>
      </c>
      <c r="C21" s="146" t="str">
        <f t="shared" si="0"/>
        <v>Stadtwerke Bamberg</v>
      </c>
      <c r="D21" s="63"/>
      <c r="E21" s="166"/>
      <c r="F21" s="308"/>
      <c r="H21" s="279"/>
      <c r="I21" s="279"/>
      <c r="J21" s="279"/>
      <c r="K21" s="279"/>
      <c r="L21" s="280"/>
      <c r="M21" s="279"/>
      <c r="N21" s="279"/>
      <c r="O21" s="279"/>
      <c r="P21" s="279"/>
      <c r="Q21" s="281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>
        <v>11</v>
      </c>
      <c r="C22" s="146" t="str">
        <f t="shared" si="0"/>
        <v>Stadtwerke Bamberg</v>
      </c>
      <c r="D22" s="63"/>
      <c r="E22" s="166"/>
      <c r="F22" s="308"/>
      <c r="H22" s="279"/>
      <c r="I22" s="279"/>
      <c r="J22" s="279"/>
      <c r="K22" s="279"/>
      <c r="L22" s="280"/>
      <c r="M22" s="279"/>
      <c r="N22" s="279"/>
      <c r="O22" s="279"/>
      <c r="P22" s="279"/>
      <c r="Q22" s="281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>
        <v>12</v>
      </c>
      <c r="C23" s="146" t="str">
        <f t="shared" si="0"/>
        <v>Stadtwerke Bamberg</v>
      </c>
      <c r="D23" s="63"/>
      <c r="E23" s="166"/>
      <c r="F23" s="308"/>
      <c r="H23" s="279"/>
      <c r="I23" s="279"/>
      <c r="J23" s="279"/>
      <c r="K23" s="279"/>
      <c r="L23" s="280"/>
      <c r="M23" s="279"/>
      <c r="N23" s="279"/>
      <c r="O23" s="279"/>
      <c r="P23" s="279"/>
      <c r="Q23" s="281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>
        <v>13</v>
      </c>
      <c r="C24" s="146" t="str">
        <f t="shared" si="0"/>
        <v>Stadtwerke Bamberg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Stadtwerke Bamberg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Stadtwerke Bamberg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Stadtwerke Bamberg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Stadtwerke Bamberg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Stadtwerke Bamberg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Stadtwerke Bamberg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Stadtwerke Bamberg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Stadtwerke Bamberg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Stadtwerke Bamberg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Stadtwerke Bamberg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Stadtwerke Bamberg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Stadtwerke Bamberg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Stadtwerke Bamberg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Stadtwerke Bamberg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Stadtwerke Bamberg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Stadtwerke Bamberg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Stadtwerke Bamberg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" priority="11">
      <formula>ISERROR(F11)</formula>
    </cfRule>
  </conditionalFormatting>
  <conditionalFormatting sqref="Y12:Y41 E16:F41 F12:F15">
    <cfRule type="duplicateValues" dxfId="19" priority="33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E11:E15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E16:E26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544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9" zoomScale="115" zoomScaleNormal="115" workbookViewId="0">
      <selection activeCell="Z12" sqref="Z12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Stadtwerke Bamberg Energie- und Wasserversorgungs GmbH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Stadtwerke Bamberg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9870010500006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0" t="s">
        <v>582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395</v>
      </c>
      <c r="G10" s="358"/>
      <c r="H10" s="358"/>
      <c r="I10" s="358"/>
      <c r="J10" s="358"/>
      <c r="K10" s="358"/>
      <c r="L10" s="359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1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1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650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648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1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1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649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1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5" priority="9">
      <formula>IF(E$11="NB",1,0)</formula>
    </cfRule>
  </conditionalFormatting>
  <conditionalFormatting sqref="F12:L35">
    <cfRule type="expression" dxfId="14" priority="6">
      <formula>IF($E12=1,1,0)</formula>
    </cfRule>
  </conditionalFormatting>
  <conditionalFormatting sqref="M12:AD35">
    <cfRule type="expression" dxfId="13" priority="3">
      <formula>IF(M$11=1,1)</formula>
    </cfRule>
  </conditionalFormatting>
  <conditionalFormatting sqref="M9:AD10">
    <cfRule type="expression" dxfId="1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544</v>
      </c>
    </row>
    <row r="2" spans="1:16">
      <c r="A2" s="238"/>
      <c r="B2" s="237" t="s">
        <v>453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454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1" priority="2" stopIfTrue="1" operator="equal">
      <formula>$M7</formula>
    </cfRule>
  </conditionalFormatting>
  <conditionalFormatting sqref="D9:J9">
    <cfRule type="cellIs" dxfId="1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Sebastian Gareis</cp:lastModifiedBy>
  <cp:lastPrinted>2015-03-20T22:59:10Z</cp:lastPrinted>
  <dcterms:created xsi:type="dcterms:W3CDTF">2015-01-15T05:25:41Z</dcterms:created>
  <dcterms:modified xsi:type="dcterms:W3CDTF">2021-07-05T10:30:52Z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